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man\Desktop\"/>
    </mc:Choice>
  </mc:AlternateContent>
  <xr:revisionPtr revIDLastSave="0" documentId="13_ncr:1_{737DFFAC-2FF3-4011-8C0B-A8F763786A30}" xr6:coauthVersionLast="47" xr6:coauthVersionMax="47" xr10:uidLastSave="{00000000-0000-0000-0000-000000000000}"/>
  <bookViews>
    <workbookView xWindow="23310" yWindow="0" windowWidth="21750" windowHeight="20985" tabRatio="536" xr2:uid="{55D78E9B-3F6D-464A-9A83-AEEFCD13FFBB}"/>
  </bookViews>
  <sheets>
    <sheet name="Parametros_Bartlett" sheetId="1" r:id="rId1"/>
    <sheet name="Parametros_PCM" sheetId="4" r:id="rId2"/>
    <sheet name="Respuesta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2" l="1"/>
  <c r="J14" i="1"/>
  <c r="I10" i="1"/>
  <c r="I2" i="1"/>
  <c r="G14" i="1"/>
  <c r="G11" i="1"/>
  <c r="H2" i="1"/>
  <c r="H3" i="1"/>
  <c r="H4" i="1"/>
  <c r="H5" i="1"/>
  <c r="H6" i="1"/>
  <c r="H7" i="1"/>
  <c r="H8" i="1"/>
  <c r="H9" i="1"/>
  <c r="H10" i="1"/>
  <c r="G3" i="1"/>
  <c r="G4" i="1"/>
  <c r="G5" i="1"/>
  <c r="G6" i="1"/>
  <c r="G7" i="1"/>
  <c r="G8" i="1"/>
  <c r="G9" i="1"/>
  <c r="G10" i="1"/>
  <c r="G2" i="1"/>
  <c r="I3" i="4" l="1"/>
  <c r="I4" i="4"/>
  <c r="I5" i="4"/>
  <c r="I6" i="4"/>
  <c r="I7" i="4"/>
  <c r="I8" i="4"/>
  <c r="I9" i="4"/>
  <c r="I2" i="4"/>
  <c r="I11" i="4" s="1"/>
  <c r="H2" i="4"/>
  <c r="G2" i="4"/>
  <c r="H3" i="4"/>
  <c r="H4" i="4"/>
  <c r="H5" i="4"/>
  <c r="H6" i="4"/>
  <c r="H7" i="4"/>
  <c r="H8" i="4"/>
  <c r="H9" i="4"/>
  <c r="G3" i="4"/>
  <c r="G4" i="4"/>
  <c r="G5" i="4"/>
  <c r="G6" i="4"/>
  <c r="G7" i="4"/>
  <c r="G8" i="4"/>
  <c r="G9" i="4"/>
  <c r="D3" i="2"/>
  <c r="D4" i="2"/>
  <c r="D5" i="2"/>
  <c r="D6" i="2"/>
  <c r="D7" i="2"/>
  <c r="D8" i="2"/>
  <c r="D9" i="2"/>
  <c r="D10" i="2"/>
  <c r="D2" i="2"/>
  <c r="I10" i="4"/>
  <c r="H10" i="4"/>
  <c r="G10" i="4"/>
  <c r="F3" i="1"/>
  <c r="F4" i="1"/>
  <c r="F5" i="1"/>
  <c r="F6" i="1"/>
  <c r="F7" i="1"/>
  <c r="F8" i="1"/>
  <c r="F9" i="1"/>
  <c r="F10" i="1"/>
  <c r="F2" i="1"/>
  <c r="E3" i="1"/>
  <c r="E4" i="1"/>
  <c r="E5" i="1"/>
  <c r="E6" i="1"/>
  <c r="E7" i="1"/>
  <c r="E8" i="1"/>
  <c r="E9" i="1"/>
  <c r="E10" i="1"/>
  <c r="E2" i="1"/>
  <c r="D12" i="2" l="1"/>
  <c r="H11" i="1"/>
  <c r="C2" i="2" l="1"/>
  <c r="I3" i="1"/>
  <c r="I4" i="1"/>
  <c r="I6" i="1"/>
  <c r="I7" i="1"/>
  <c r="I8" i="1"/>
  <c r="I5" i="1"/>
  <c r="I9" i="1"/>
  <c r="C5" i="2" l="1"/>
  <c r="J5" i="1"/>
  <c r="C6" i="2"/>
  <c r="J6" i="1"/>
  <c r="J2" i="1"/>
  <c r="C9" i="2"/>
  <c r="J9" i="1"/>
  <c r="C10" i="2"/>
  <c r="J10" i="1"/>
  <c r="C8" i="2"/>
  <c r="J8" i="1"/>
  <c r="C7" i="2"/>
  <c r="J7" i="1"/>
  <c r="C4" i="2"/>
  <c r="J4" i="1"/>
  <c r="C3" i="2"/>
  <c r="J3" i="1"/>
  <c r="C12" i="2" l="1"/>
</calcChain>
</file>

<file path=xl/sharedStrings.xml><?xml version="1.0" encoding="utf-8"?>
<sst xmlns="http://schemas.openxmlformats.org/spreadsheetml/2006/main" count="66" uniqueCount="54">
  <si>
    <t>[Poco interés o placer en hacer las cosas] Durante el último mes, ¿con qué frecuencia ha sentido molestias por los siguientes problemas?</t>
  </si>
  <si>
    <t>[Sentirse desanimado/a, deprimido/a o sin esperanzas] Durante el último mes, ¿con qué frecuencia ha sentido molestias por los siguientes problemas?</t>
  </si>
  <si>
    <t>[Problemas para dormir o mantener el sueño o dormir demasiado] Durante el último mes, ¿con qué frecuencia ha sentido molestias por los siguientes problemas?</t>
  </si>
  <si>
    <t>[Sentirse cansado/a o con poca energía] Durante el último mes, ¿con qué frecuencia ha sentido molestias por los siguientes problemas?</t>
  </si>
  <si>
    <t>[Sentir poco apetito o comer en exceso] Durante el último mes, ¿con qué frecuencia ha sentido molestias por los siguientes problemas?</t>
  </si>
  <si>
    <t>[Sentirse mal acerca de sí mismo o tener un sentimiento de fracaso o de abandono propio o de la familia] Durante el último mes, ¿con qué frecuencia ha sentido molestias por los siguientes problemas?</t>
  </si>
  <si>
    <t>[Dificultad para concentrarse en diferentes actividades tales como leer el periódico o ver televisión] Durante el último mes, ¿con qué frecuencia ha sentido molestias por los siguientes problemas?</t>
  </si>
  <si>
    <t>[Moverse o hablar tan despacio que otras personas lo han notado o bien, por el contario, estar tan inquieto/a o intranquilo/a que se mueve mucho más de lo normal] Durante el último mes, ¿con qué frecuencia ha sentido molestias por los siguientes proble</t>
  </si>
  <si>
    <t>[Pensamientos de que sería mejor estar muerto/a o que quisiera lastimarse de alguna manera] Durante el último mes, ¿con qué frecuencia ha sentido molestias por los siguientes problemas?</t>
  </si>
  <si>
    <t>Media</t>
  </si>
  <si>
    <t>Desviacion tipica</t>
  </si>
  <si>
    <t>Ítem</t>
  </si>
  <si>
    <t xml:space="preserve">Coeficiente de puntuación de componente. Método de extracción: análisis de componentes principales. </t>
  </si>
  <si>
    <t>Z_Min del ítem</t>
  </si>
  <si>
    <t>Z_Max del ítem</t>
  </si>
  <si>
    <t>Aporte Min</t>
  </si>
  <si>
    <t>Aporte Max</t>
  </si>
  <si>
    <t>puntuación mínima teórica</t>
  </si>
  <si>
    <t>puntuación máxima teórica</t>
  </si>
  <si>
    <t>Opción de respuesta mínima</t>
  </si>
  <si>
    <t>Límite global</t>
  </si>
  <si>
    <t>Mínimo</t>
  </si>
  <si>
    <t>Máximo</t>
  </si>
  <si>
    <t>Multiplicador escalar</t>
  </si>
  <si>
    <t>Peso Final Vi​</t>
  </si>
  <si>
    <t>Ajuste por Media</t>
  </si>
  <si>
    <t>Constante</t>
  </si>
  <si>
    <t>a_i</t>
  </si>
  <si>
    <t>b_i1</t>
  </si>
  <si>
    <t>b_i2</t>
  </si>
  <si>
    <t>b_i3</t>
  </si>
  <si>
    <t>Peso1</t>
  </si>
  <si>
    <t>Peso2</t>
  </si>
  <si>
    <t>Peso3</t>
  </si>
  <si>
    <t>Peso0</t>
  </si>
  <si>
    <t>Techo Latente Absoluto:</t>
  </si>
  <si>
    <t>Enfoque de Bartlett (Análisis de Componentes Principales - Continuo)</t>
  </si>
  <si>
    <t>Puntuación Ponderada PCM</t>
  </si>
  <si>
    <t>Puntuación Barttlet</t>
  </si>
  <si>
    <t>Score</t>
  </si>
  <si>
    <t>PCM</t>
  </si>
  <si>
    <t>Barttlet</t>
  </si>
  <si>
    <t>Diagnóstico Clínico</t>
  </si>
  <si>
    <t>Si usted tuvo molestias por alguno de los problemas mencionados, ¿cuánta dificultad le causaron estos problemas para hacer su rtabajo, ocuparse de las tareas del hogar o relacionarse con otras personas?]</t>
  </si>
  <si>
    <t>[Poco interés o placer en hacer las cosas] Durante las últimas dos semanas, ¿con qué frecuencia ha sentido molestias por los siguientes problemas?</t>
  </si>
  <si>
    <t>[Sentirse desanimado/a, deprimido/a o sin esperanzas]  Durante las últimas dos semanas, ¿con qué frecuencia ha sentido molestias por los siguientes problemas?</t>
  </si>
  <si>
    <t>[Problemas para dormir o mantener el sueño o dormir demasiado] Durante las últimas dos semanas, ¿con qué frecuencia ha sentido molestias por los siguientes problemas?</t>
  </si>
  <si>
    <t>[Sentirse cansado/a o con poca energía]  Durante las últimas dos semanas, ¿con qué frecuencia ha sentido molestias por los siguientes problemas?</t>
  </si>
  <si>
    <t>[Sentir poco apetito o comer en exceso] Durante las últimas dos semanas, ¿con qué frecuencia ha sentido molestias por los siguientes problemas?</t>
  </si>
  <si>
    <t>[Sentirse mal acerca de sí mismo o tener un sentimiento de fracaso o de abandono propio o de la familia] Durante las últimas dos semanas, ¿con qué frecuencia ha sentido molestias por los siguientes problemas?</t>
  </si>
  <si>
    <t>[Dificultad para concentrarse en diferentes actividades tales como leer el periódico o ver televisión] Durante las últimas dos semanas, ¿con qué frecuencia ha sentido molestias por los siguientes problemas?</t>
  </si>
  <si>
    <t>[Moverse o hablar tan despacio que otras personas lo han notado o bien, por el contario, estar tan inquieto/a o intranquilo/a que se mueve mucho más de lo normal]  Durante las últimas dos semanas, ¿con qué frecuencia ha sentido molestias por los siguientes proble</t>
  </si>
  <si>
    <t>[Pensamientos de que sería mejor estar muerto/a o que quisiera lastimarse de alguna manera]  Durante las últimas dos semanas, ¿con qué frecuencia ha sentido molestias por los siguientes problemas?</t>
  </si>
  <si>
    <t>Respuestas [números naturales de 0 a 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</si>
</sst>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.000"/>
    <numFmt numFmtId="165" formatCode="###0"/>
    <numFmt numFmtId="166" formatCode="###0.00"/>
    <numFmt numFmtId="167" formatCode="0.000"/>
    <numFmt numFmtId="173" formatCode="#,##0.000"/>
  </numFmts>
  <fonts count="14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Lucida Console"/>
      <family val="3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2"/>
      <color indexed="8"/>
      <name val="Times New Roman"/>
      <family val="1"/>
    </font>
    <font>
      <b/>
      <sz val="11"/>
      <color rgb="FFFF0000"/>
      <name val="Aptos Narrow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164" fontId="3" fillId="0" borderId="0" xfId="1" applyNumberFormat="1" applyFont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 applyAlignment="1">
      <alignment horizontal="left" vertical="top"/>
    </xf>
    <xf numFmtId="2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2" fontId="1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164" fontId="0" fillId="0" borderId="0" xfId="0" applyNumberFormat="1"/>
    <xf numFmtId="164" fontId="1" fillId="0" borderId="0" xfId="1" applyNumberFormat="1"/>
    <xf numFmtId="164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1" applyNumberFormat="1" applyFont="1" applyAlignment="1">
      <alignment horizontal="left" vertical="top"/>
    </xf>
    <xf numFmtId="0" fontId="0" fillId="0" borderId="3" xfId="0" applyBorder="1"/>
    <xf numFmtId="167" fontId="0" fillId="0" borderId="0" xfId="0" applyNumberFormat="1"/>
    <xf numFmtId="165" fontId="0" fillId="0" borderId="0" xfId="0" applyNumberFormat="1"/>
    <xf numFmtId="164" fontId="3" fillId="0" borderId="1" xfId="1" applyNumberFormat="1" applyFont="1" applyBorder="1" applyAlignment="1">
      <alignment horizontal="left" vertical="top"/>
    </xf>
    <xf numFmtId="164" fontId="3" fillId="0" borderId="3" xfId="1" applyNumberFormat="1" applyFont="1" applyBorder="1" applyAlignment="1">
      <alignment horizontal="left" vertical="top"/>
    </xf>
    <xf numFmtId="167" fontId="0" fillId="0" borderId="0" xfId="0" applyNumberFormat="1" applyAlignment="1">
      <alignment horizontal="left" vertical="top"/>
    </xf>
    <xf numFmtId="167" fontId="0" fillId="0" borderId="3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3" fillId="0" borderId="3" xfId="1" applyFont="1" applyBorder="1" applyAlignment="1">
      <alignment horizontal="left" vertical="top"/>
    </xf>
    <xf numFmtId="0" fontId="1" fillId="0" borderId="0" xfId="1"/>
    <xf numFmtId="0" fontId="2" fillId="0" borderId="0" xfId="1" applyFont="1" applyAlignment="1">
      <alignment horizontal="left" vertical="center"/>
    </xf>
    <xf numFmtId="0" fontId="5" fillId="0" borderId="0" xfId="1" applyFont="1"/>
    <xf numFmtId="0" fontId="4" fillId="0" borderId="0" xfId="1" applyFont="1"/>
    <xf numFmtId="0" fontId="3" fillId="0" borderId="0" xfId="1" applyFont="1" applyAlignment="1">
      <alignment horizontal="left"/>
    </xf>
    <xf numFmtId="1" fontId="1" fillId="0" borderId="0" xfId="1" applyNumberFormat="1" applyAlignment="1">
      <alignment horizontal="center"/>
    </xf>
    <xf numFmtId="1" fontId="0" fillId="0" borderId="0" xfId="0" applyNumberFormat="1" applyAlignment="1">
      <alignment horizontal="center"/>
    </xf>
    <xf numFmtId="166" fontId="3" fillId="0" borderId="0" xfId="1" applyNumberFormat="1" applyFont="1" applyAlignment="1">
      <alignment horizontal="center" vertical="top"/>
    </xf>
    <xf numFmtId="0" fontId="4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Border="1"/>
    <xf numFmtId="173" fontId="9" fillId="0" borderId="0" xfId="0" applyNumberFormat="1" applyFont="1"/>
    <xf numFmtId="0" fontId="11" fillId="0" borderId="2" xfId="1" applyFont="1" applyBorder="1" applyAlignment="1">
      <alignment horizontal="left" vertical="top"/>
    </xf>
    <xf numFmtId="0" fontId="6" fillId="0" borderId="0" xfId="0" applyFont="1"/>
    <xf numFmtId="0" fontId="3" fillId="0" borderId="0" xfId="1" applyFont="1" applyBorder="1" applyAlignment="1">
      <alignment horizontal="left" vertical="top"/>
    </xf>
    <xf numFmtId="0" fontId="11" fillId="0" borderId="3" xfId="1" applyFont="1" applyBorder="1" applyAlignment="1">
      <alignment horizontal="left" vertical="top"/>
    </xf>
    <xf numFmtId="0" fontId="6" fillId="0" borderId="3" xfId="0" applyFont="1" applyBorder="1"/>
    <xf numFmtId="173" fontId="9" fillId="0" borderId="3" xfId="0" applyNumberFormat="1" applyFont="1" applyBorder="1"/>
    <xf numFmtId="0" fontId="0" fillId="0" borderId="0" xfId="0" applyFill="1" applyBorder="1"/>
    <xf numFmtId="0" fontId="6" fillId="0" borderId="0" xfId="0" applyFont="1" applyAlignment="1">
      <alignment horizontal="center"/>
    </xf>
    <xf numFmtId="2" fontId="12" fillId="0" borderId="5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67" fontId="0" fillId="0" borderId="3" xfId="0" applyNumberFormat="1" applyBorder="1"/>
    <xf numFmtId="164" fontId="1" fillId="0" borderId="3" xfId="1" applyNumberFormat="1" applyBorder="1"/>
    <xf numFmtId="164" fontId="4" fillId="0" borderId="5" xfId="1" applyNumberFormat="1" applyFont="1" applyBorder="1" applyAlignment="1">
      <alignment horizontal="center" vertical="top"/>
    </xf>
    <xf numFmtId="0" fontId="0" fillId="0" borderId="7" xfId="0" applyBorder="1"/>
    <xf numFmtId="164" fontId="4" fillId="0" borderId="5" xfId="1" applyNumberFormat="1" applyFont="1" applyBorder="1" applyAlignment="1">
      <alignment horizontal="left" vertical="top"/>
    </xf>
    <xf numFmtId="164" fontId="3" fillId="0" borderId="7" xfId="1" applyNumberFormat="1" applyFont="1" applyBorder="1" applyAlignment="1">
      <alignment horizontal="left" vertical="top"/>
    </xf>
    <xf numFmtId="0" fontId="0" fillId="0" borderId="3" xfId="0" applyFill="1" applyBorder="1"/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4" fillId="0" borderId="0" xfId="1" applyFont="1" applyBorder="1" applyAlignment="1">
      <alignment horizontal="left" vertical="top"/>
    </xf>
    <xf numFmtId="0" fontId="13" fillId="0" borderId="3" xfId="0" applyFont="1" applyBorder="1"/>
    <xf numFmtId="0" fontId="12" fillId="0" borderId="7" xfId="0" applyFont="1" applyBorder="1"/>
    <xf numFmtId="2" fontId="0" fillId="0" borderId="3" xfId="0" applyNumberFormat="1" applyBorder="1" applyAlignment="1">
      <alignment horizontal="center"/>
    </xf>
    <xf numFmtId="0" fontId="11" fillId="0" borderId="0" xfId="1" applyFont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164" fontId="11" fillId="0" borderId="0" xfId="1" applyNumberFormat="1" applyFont="1" applyAlignment="1">
      <alignment horizontal="left" vertical="top"/>
    </xf>
    <xf numFmtId="165" fontId="0" fillId="0" borderId="8" xfId="0" applyNumberFormat="1" applyBorder="1" applyAlignment="1">
      <alignment horizontal="left" vertical="top"/>
    </xf>
    <xf numFmtId="165" fontId="0" fillId="0" borderId="9" xfId="0" applyNumberFormat="1" applyBorder="1" applyAlignment="1">
      <alignment horizontal="left" vertical="top"/>
    </xf>
    <xf numFmtId="165" fontId="0" fillId="0" borderId="10" xfId="0" applyNumberFormat="1" applyBorder="1" applyAlignment="1">
      <alignment horizontal="left" vertical="top"/>
    </xf>
    <xf numFmtId="0" fontId="0" fillId="0" borderId="4" xfId="0" applyBorder="1"/>
  </cellXfs>
  <cellStyles count="2">
    <cellStyle name="Normal" xfId="0" builtinId="0"/>
    <cellStyle name="Normal_Hoja1" xfId="1" xr:uid="{F30CDEEF-0AA4-49F3-9992-4F9084FC1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7D7D6-19C5-457B-930B-DE3426E155B0}">
  <dimension ref="A1:X33"/>
  <sheetViews>
    <sheetView tabSelected="1" workbookViewId="0"/>
  </sheetViews>
  <sheetFormatPr baseColWidth="10" defaultRowHeight="15" x14ac:dyDescent="0.25"/>
  <cols>
    <col min="1" max="1" width="20" customWidth="1"/>
    <col min="2" max="3" width="11.5703125" bestFit="1" customWidth="1"/>
    <col min="4" max="4" width="15.7109375" bestFit="1" customWidth="1"/>
    <col min="5" max="5" width="8.140625" bestFit="1" customWidth="1"/>
    <col min="10" max="10" width="9.5703125" customWidth="1"/>
    <col min="15" max="15" width="5.85546875" bestFit="1" customWidth="1"/>
  </cols>
  <sheetData>
    <row r="1" spans="1:19" ht="15.75" x14ac:dyDescent="0.25">
      <c r="A1" s="42" t="s">
        <v>11</v>
      </c>
      <c r="B1" s="45" t="s">
        <v>12</v>
      </c>
      <c r="C1" s="66" t="s">
        <v>9</v>
      </c>
      <c r="D1" s="66" t="s">
        <v>10</v>
      </c>
      <c r="E1" s="67" t="s">
        <v>13</v>
      </c>
      <c r="F1" s="67" t="s">
        <v>14</v>
      </c>
      <c r="G1" s="67" t="s">
        <v>15</v>
      </c>
      <c r="H1" s="67" t="s">
        <v>16</v>
      </c>
      <c r="I1" s="46" t="s">
        <v>24</v>
      </c>
      <c r="J1" s="46" t="s">
        <v>25</v>
      </c>
      <c r="K1" s="7"/>
      <c r="L1" s="7"/>
      <c r="M1" s="7"/>
      <c r="N1" s="7"/>
    </row>
    <row r="2" spans="1:19" ht="15.75" customHeight="1" x14ac:dyDescent="0.25">
      <c r="A2" s="2" t="s">
        <v>0</v>
      </c>
      <c r="B2" s="17">
        <v>0.14210453670096684</v>
      </c>
      <c r="C2" s="21">
        <v>1.9505930841871983</v>
      </c>
      <c r="D2" s="21">
        <v>0.96750588408687455</v>
      </c>
      <c r="E2" s="17">
        <f>($B$14-C2)/D2</f>
        <v>-2.0161046214495686</v>
      </c>
      <c r="F2" s="23">
        <f>($B$15 - C2) / D2</f>
        <v>1.0846517143440679</v>
      </c>
      <c r="G2" s="23">
        <f>$B2*E2</f>
        <v>-0.28649761317176908</v>
      </c>
      <c r="H2" s="23">
        <f>$B2*F2</f>
        <v>0.15413392934877321</v>
      </c>
      <c r="I2" s="19">
        <f>$G$14*(B2/D2)</f>
        <v>1.0759060391857311</v>
      </c>
      <c r="J2" s="14">
        <f>I2*C2</f>
        <v>2.0986548792709279</v>
      </c>
      <c r="K2" s="15"/>
      <c r="L2" s="15"/>
      <c r="M2" s="15"/>
      <c r="N2" s="15"/>
      <c r="O2" s="13"/>
      <c r="P2" s="13"/>
      <c r="Q2" s="13"/>
      <c r="R2" s="13"/>
      <c r="S2" s="13"/>
    </row>
    <row r="3" spans="1:19" ht="15.75" x14ac:dyDescent="0.25">
      <c r="A3" s="3" t="s">
        <v>1</v>
      </c>
      <c r="B3" s="17">
        <v>0.14887506246899646</v>
      </c>
      <c r="C3" s="17">
        <v>1.9911768143571082</v>
      </c>
      <c r="D3" s="17">
        <v>1.0385094439385538</v>
      </c>
      <c r="E3" s="17">
        <f t="shared" ref="E3:E10" si="0">($B$14-C3)/D3</f>
        <v>-1.9173410756916733</v>
      </c>
      <c r="F3" s="23">
        <f t="shared" ref="F3:F10" si="1">($B$15 - C3) / D3</f>
        <v>0.97141455143337285</v>
      </c>
      <c r="G3" s="23">
        <f t="shared" ref="G3:H10" si="2">$B3*E3</f>
        <v>-0.28544427241797071</v>
      </c>
      <c r="H3" s="23">
        <f t="shared" si="2"/>
        <v>0.14461940202793555</v>
      </c>
      <c r="I3" s="19">
        <f t="shared" ref="I3:I9" si="3">$G$14*(B3/D3)</f>
        <v>1.0501020919290753</v>
      </c>
      <c r="J3" s="14">
        <f t="shared" ref="J3:J10" si="4">I3*C3</f>
        <v>2.0909389381570715</v>
      </c>
      <c r="K3" s="15"/>
      <c r="L3" s="15"/>
      <c r="M3" s="15"/>
      <c r="N3" s="15"/>
      <c r="O3" s="13"/>
      <c r="P3" s="13"/>
      <c r="Q3" s="13"/>
      <c r="R3" s="13"/>
      <c r="S3" s="13"/>
    </row>
    <row r="4" spans="1:19" ht="15.75" x14ac:dyDescent="0.25">
      <c r="A4" s="3" t="s">
        <v>2</v>
      </c>
      <c r="B4" s="17">
        <v>0.13894768865152987</v>
      </c>
      <c r="C4" s="17">
        <v>2.3319214116151898</v>
      </c>
      <c r="D4" s="17">
        <v>1.1291564557547369</v>
      </c>
      <c r="E4" s="17">
        <f t="shared" si="0"/>
        <v>-2.065188929072292</v>
      </c>
      <c r="F4" s="23">
        <f t="shared" si="1"/>
        <v>0.59166166475863724</v>
      </c>
      <c r="G4" s="23">
        <f t="shared" si="2"/>
        <v>-0.28695322832332326</v>
      </c>
      <c r="H4" s="23">
        <f t="shared" si="2"/>
        <v>8.2210020781928975E-2</v>
      </c>
      <c r="I4" s="19">
        <f t="shared" si="3"/>
        <v>0.90139931173731269</v>
      </c>
      <c r="J4" s="14">
        <f t="shared" si="4"/>
        <v>2.1019923554554349</v>
      </c>
      <c r="K4" s="15"/>
      <c r="L4" s="15"/>
      <c r="M4" s="15"/>
      <c r="N4" s="15"/>
      <c r="O4" s="13"/>
      <c r="P4" s="13"/>
      <c r="Q4" s="13"/>
      <c r="R4" s="13"/>
      <c r="S4" s="13"/>
    </row>
    <row r="5" spans="1:19" ht="15.75" x14ac:dyDescent="0.25">
      <c r="A5" s="3" t="s">
        <v>3</v>
      </c>
      <c r="B5" s="17">
        <v>0.13960909526532542</v>
      </c>
      <c r="C5" s="17">
        <v>2.5762772438517709</v>
      </c>
      <c r="D5" s="17">
        <v>1.0806978773962452</v>
      </c>
      <c r="E5" s="17">
        <f t="shared" si="0"/>
        <v>-2.3839014563985872</v>
      </c>
      <c r="F5" s="23">
        <f t="shared" si="1"/>
        <v>0.39208252834651236</v>
      </c>
      <c r="G5" s="23">
        <f t="shared" si="2"/>
        <v>-0.33281432552949836</v>
      </c>
      <c r="H5" s="23">
        <f t="shared" si="2"/>
        <v>5.4738287051797896E-2</v>
      </c>
      <c r="I5" s="19">
        <f t="shared" si="3"/>
        <v>0.94630128835814198</v>
      </c>
      <c r="J5" s="14">
        <f t="shared" si="4"/>
        <v>2.4379344750246941</v>
      </c>
      <c r="K5" s="15"/>
      <c r="L5" s="15"/>
      <c r="M5" s="15"/>
      <c r="N5" s="15"/>
      <c r="O5" s="13"/>
      <c r="P5" s="13"/>
      <c r="Q5" s="13"/>
      <c r="R5" s="13"/>
      <c r="S5" s="13"/>
    </row>
    <row r="6" spans="1:19" ht="15.75" x14ac:dyDescent="0.25">
      <c r="A6" s="3" t="s">
        <v>4</v>
      </c>
      <c r="B6" s="17">
        <v>0.13802030216196026</v>
      </c>
      <c r="C6" s="17">
        <v>2.2054564154487402</v>
      </c>
      <c r="D6" s="17">
        <v>1.0906722816257177</v>
      </c>
      <c r="E6" s="17">
        <f t="shared" si="0"/>
        <v>-2.0221073301334518</v>
      </c>
      <c r="F6" s="23">
        <f t="shared" si="1"/>
        <v>0.72848975621434253</v>
      </c>
      <c r="G6" s="23">
        <f t="shared" si="2"/>
        <v>-0.27909186470893377</v>
      </c>
      <c r="H6" s="23">
        <f t="shared" si="2"/>
        <v>0.10054637627459632</v>
      </c>
      <c r="I6" s="19">
        <f t="shared" si="3"/>
        <v>0.92697647981246301</v>
      </c>
      <c r="J6" s="14">
        <f t="shared" si="4"/>
        <v>2.0444062243724863</v>
      </c>
      <c r="K6" s="15"/>
      <c r="L6" s="15"/>
      <c r="M6" s="15"/>
      <c r="N6" s="15"/>
      <c r="O6" s="13"/>
      <c r="P6" s="13"/>
      <c r="Q6" s="13"/>
      <c r="R6" s="13"/>
      <c r="S6" s="13"/>
    </row>
    <row r="7" spans="1:19" ht="15.75" x14ac:dyDescent="0.25">
      <c r="A7" s="3" t="s">
        <v>5</v>
      </c>
      <c r="B7" s="17">
        <v>0.14178740027307468</v>
      </c>
      <c r="C7" s="17">
        <v>1.8397889428069054</v>
      </c>
      <c r="D7" s="17">
        <v>1.0448697115862156</v>
      </c>
      <c r="E7" s="17">
        <f t="shared" si="0"/>
        <v>-1.7607831123881692</v>
      </c>
      <c r="F7" s="23">
        <f t="shared" si="1"/>
        <v>1.1103882563805774</v>
      </c>
      <c r="G7" s="23">
        <f t="shared" si="2"/>
        <v>-0.24965685995025158</v>
      </c>
      <c r="H7" s="23">
        <f t="shared" si="2"/>
        <v>0.15743906416595441</v>
      </c>
      <c r="I7" s="19">
        <f t="shared" si="3"/>
        <v>0.99402090186065761</v>
      </c>
      <c r="J7" s="14">
        <f t="shared" si="4"/>
        <v>1.828788664162186</v>
      </c>
      <c r="K7" s="16"/>
      <c r="L7" s="16"/>
      <c r="M7" s="16"/>
      <c r="N7" s="16"/>
      <c r="O7" s="13"/>
      <c r="P7" s="16"/>
      <c r="Q7" s="16"/>
      <c r="R7" s="16"/>
      <c r="S7" s="16"/>
    </row>
    <row r="8" spans="1:19" ht="15.75" x14ac:dyDescent="0.25">
      <c r="A8" s="3" t="s">
        <v>6</v>
      </c>
      <c r="B8" s="17">
        <v>0.14187858843151616</v>
      </c>
      <c r="C8" s="17">
        <v>1.924802876090445</v>
      </c>
      <c r="D8" s="17">
        <v>1.0149034644501975</v>
      </c>
      <c r="E8" s="17">
        <f t="shared" si="0"/>
        <v>-1.8965378910526887</v>
      </c>
      <c r="F8" s="23">
        <f t="shared" si="1"/>
        <v>1.0594082704132066</v>
      </c>
      <c r="G8" s="23">
        <f t="shared" si="2"/>
        <v>-0.26907811888944005</v>
      </c>
      <c r="H8" s="23">
        <f t="shared" si="2"/>
        <v>0.15030734997889972</v>
      </c>
      <c r="I8" s="19">
        <f t="shared" si="3"/>
        <v>1.0240287295845378</v>
      </c>
      <c r="J8" s="14">
        <f t="shared" si="4"/>
        <v>1.971053443903563</v>
      </c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3" t="s">
        <v>7</v>
      </c>
      <c r="B9" s="17">
        <v>0.13433904149097195</v>
      </c>
      <c r="C9" s="17">
        <v>1.6938667157530456</v>
      </c>
      <c r="D9" s="17">
        <v>0.95864211393523113</v>
      </c>
      <c r="E9" s="17">
        <f t="shared" si="0"/>
        <v>-1.7669437750859009</v>
      </c>
      <c r="F9" s="23">
        <f t="shared" si="1"/>
        <v>1.3624826880234482</v>
      </c>
      <c r="G9" s="23">
        <f t="shared" si="2"/>
        <v>-0.23736953311347947</v>
      </c>
      <c r="H9" s="23">
        <f t="shared" si="2"/>
        <v>0.18303461835711299</v>
      </c>
      <c r="I9" s="19">
        <f t="shared" si="3"/>
        <v>1.0265160838885616</v>
      </c>
      <c r="J9" s="14">
        <f t="shared" si="4"/>
        <v>1.7387814276839957</v>
      </c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27" t="s">
        <v>8</v>
      </c>
      <c r="B10" s="22">
        <v>0.10793118119993793</v>
      </c>
      <c r="C10" s="22">
        <v>1.3247265833469863</v>
      </c>
      <c r="D10" s="22">
        <v>0.74957966205555249</v>
      </c>
      <c r="E10" s="22">
        <f t="shared" si="0"/>
        <v>-1.7672925913094062</v>
      </c>
      <c r="F10" s="24">
        <f t="shared" si="1"/>
        <v>2.2349504681850032</v>
      </c>
      <c r="G10" s="24">
        <f t="shared" si="2"/>
        <v>-0.19074597690592338</v>
      </c>
      <c r="H10" s="24">
        <f t="shared" si="2"/>
        <v>0.2412208439545617</v>
      </c>
      <c r="I10" s="52">
        <f>$G$14*(B10/D10)</f>
        <v>1.0547490736435188</v>
      </c>
      <c r="J10" s="53">
        <f t="shared" si="4"/>
        <v>1.3972541366161775</v>
      </c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6.5" thickBot="1" x14ac:dyDescent="0.3">
      <c r="A11" s="25"/>
      <c r="B11" s="26"/>
      <c r="C11" s="17"/>
      <c r="D11" s="17"/>
      <c r="E11" s="17"/>
      <c r="F11" s="68" t="s">
        <v>20</v>
      </c>
      <c r="G11" s="17">
        <f>SUM(G2:G10)</f>
        <v>-2.4176517930105894</v>
      </c>
      <c r="H11" s="17">
        <f>SUM(H2:H10)</f>
        <v>1.2682498919415608</v>
      </c>
      <c r="I11" s="1"/>
      <c r="J11" s="14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66" t="s">
        <v>17</v>
      </c>
      <c r="B12" s="69">
        <v>0</v>
      </c>
      <c r="C12" s="17"/>
      <c r="D12" s="17"/>
      <c r="E12" s="17"/>
      <c r="F12" s="17"/>
      <c r="G12" s="68" t="s">
        <v>21</v>
      </c>
      <c r="H12" s="68" t="s">
        <v>22</v>
      </c>
      <c r="I12" s="1"/>
      <c r="J12" s="14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6.5" thickBot="1" x14ac:dyDescent="0.3">
      <c r="A13" s="66" t="s">
        <v>18</v>
      </c>
      <c r="B13" s="70">
        <v>27</v>
      </c>
      <c r="C13" s="17"/>
      <c r="D13" s="17"/>
      <c r="E13" s="17"/>
      <c r="F13" s="17"/>
      <c r="G13" s="17"/>
      <c r="H13" s="17"/>
      <c r="I13" s="1"/>
      <c r="J13" s="14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6.5" thickBot="1" x14ac:dyDescent="0.3">
      <c r="A14" s="66" t="s">
        <v>19</v>
      </c>
      <c r="B14" s="70">
        <v>0</v>
      </c>
      <c r="C14" s="17"/>
      <c r="D14" s="17"/>
      <c r="E14" s="17"/>
      <c r="F14" s="56" t="s">
        <v>23</v>
      </c>
      <c r="G14" s="57">
        <f>$B$13/(H11-G11)</f>
        <v>7.3252089468985684</v>
      </c>
      <c r="H14" s="17"/>
      <c r="I14" s="54" t="s">
        <v>26</v>
      </c>
      <c r="J14" s="55">
        <f>($G$14 * G11) - SUM(J2:J10)</f>
        <v>-35.419609089293068</v>
      </c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6.5" thickBot="1" x14ac:dyDescent="0.3">
      <c r="A15" s="66" t="s">
        <v>19</v>
      </c>
      <c r="B15" s="71">
        <v>3</v>
      </c>
      <c r="C15" s="17"/>
      <c r="D15" s="17"/>
      <c r="E15" s="17"/>
      <c r="F15" s="17"/>
      <c r="G15" s="17"/>
      <c r="H15" s="17"/>
      <c r="I15" s="1"/>
      <c r="J15" s="14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12"/>
      <c r="B16" s="20"/>
      <c r="C16" s="17"/>
      <c r="D16" s="1"/>
      <c r="E16" s="1"/>
      <c r="F16" s="1"/>
      <c r="G16" s="1"/>
      <c r="H16" s="1"/>
      <c r="I16" s="1"/>
      <c r="J16" s="14"/>
      <c r="K16" s="13"/>
      <c r="L16" s="13"/>
      <c r="M16" s="13"/>
      <c r="N16" s="13"/>
      <c r="O16" s="13"/>
      <c r="P16" s="13"/>
      <c r="Q16" s="13"/>
      <c r="R16" s="13"/>
      <c r="S16" s="13"/>
    </row>
    <row r="17" spans="1:24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9" spans="1:24" x14ac:dyDescent="0.25">
      <c r="F19" s="28"/>
    </row>
    <row r="20" spans="1:24" ht="15.75" x14ac:dyDescent="0.25">
      <c r="A20" t="s">
        <v>36</v>
      </c>
      <c r="B20" s="11"/>
      <c r="C20" s="29"/>
      <c r="D20" s="29"/>
      <c r="E20" s="29"/>
      <c r="F20" s="30"/>
    </row>
    <row r="21" spans="1:24" ht="15.75" x14ac:dyDescent="0.25">
      <c r="B21" s="10"/>
      <c r="C21" s="29"/>
      <c r="D21" s="29"/>
      <c r="E21" s="29"/>
      <c r="F21" s="28"/>
    </row>
    <row r="22" spans="1:24" ht="15.75" x14ac:dyDescent="0.25">
      <c r="A22" s="9"/>
      <c r="C22" s="8"/>
      <c r="D22" s="8"/>
      <c r="E22" s="8"/>
      <c r="F22" s="38"/>
      <c r="G22" s="38"/>
      <c r="H22" s="38"/>
      <c r="I22" s="38"/>
      <c r="K22" s="38"/>
      <c r="L22" s="38"/>
      <c r="M22" s="38"/>
      <c r="N22" s="38"/>
      <c r="P22" s="6"/>
      <c r="Q22" s="6"/>
      <c r="R22" s="6"/>
      <c r="S22" s="6"/>
    </row>
    <row r="23" spans="1:24" ht="15.75" x14ac:dyDescent="0.25">
      <c r="A23" s="31"/>
      <c r="B23" s="11"/>
      <c r="C23" s="32"/>
      <c r="D23" s="32"/>
      <c r="E23" s="32"/>
      <c r="F23" s="33"/>
      <c r="G23" s="34"/>
      <c r="H23" s="34"/>
      <c r="I23" s="34"/>
      <c r="J23" s="6"/>
      <c r="K23" s="5"/>
      <c r="L23" s="6"/>
      <c r="M23" s="6"/>
      <c r="N23" s="6"/>
      <c r="P23" s="4"/>
      <c r="Q23" s="4"/>
      <c r="R23" s="4"/>
      <c r="S23" s="4"/>
      <c r="U23" s="4"/>
      <c r="V23" s="4"/>
      <c r="W23" s="4"/>
      <c r="X23" s="4"/>
    </row>
    <row r="24" spans="1:24" ht="15.75" x14ac:dyDescent="0.25">
      <c r="A24" s="3"/>
      <c r="B24" s="1"/>
      <c r="C24" s="35"/>
      <c r="D24" s="1"/>
      <c r="E24" s="1"/>
      <c r="F24" s="33"/>
      <c r="G24" s="7"/>
      <c r="H24" s="7"/>
      <c r="I24" s="7"/>
      <c r="J24" s="6"/>
      <c r="K24" s="7"/>
      <c r="L24" s="7"/>
      <c r="M24" s="7"/>
      <c r="N24" s="7"/>
      <c r="P24" s="4"/>
      <c r="Q24" s="4"/>
      <c r="R24" s="4"/>
      <c r="S24" s="4"/>
      <c r="U24" s="4"/>
      <c r="V24" s="4"/>
      <c r="W24" s="4"/>
      <c r="X24" s="4"/>
    </row>
    <row r="25" spans="1:24" ht="15.75" x14ac:dyDescent="0.25">
      <c r="A25" s="3"/>
      <c r="B25" s="1"/>
      <c r="C25" s="35"/>
      <c r="D25" s="1"/>
      <c r="E25" s="1"/>
      <c r="F25" s="33"/>
      <c r="G25" s="7"/>
      <c r="H25" s="7"/>
      <c r="I25" s="7"/>
      <c r="J25" s="6"/>
      <c r="K25" s="7"/>
      <c r="L25" s="7"/>
      <c r="M25" s="7"/>
      <c r="N25" s="7"/>
      <c r="P25" s="4"/>
      <c r="Q25" s="4"/>
      <c r="R25" s="4"/>
      <c r="S25" s="4"/>
      <c r="U25" s="4"/>
      <c r="V25" s="4"/>
      <c r="W25" s="4"/>
      <c r="X25" s="4"/>
    </row>
    <row r="26" spans="1:24" ht="15.75" x14ac:dyDescent="0.25">
      <c r="A26" s="3"/>
      <c r="B26" s="1"/>
      <c r="C26" s="35"/>
      <c r="D26" s="1"/>
      <c r="E26" s="1"/>
      <c r="F26" s="33"/>
      <c r="G26" s="7"/>
      <c r="H26" s="7"/>
      <c r="I26" s="7"/>
      <c r="J26" s="6"/>
      <c r="K26" s="7"/>
      <c r="L26" s="7"/>
      <c r="M26" s="7"/>
      <c r="N26" s="7"/>
      <c r="P26" s="4"/>
      <c r="Q26" s="4"/>
      <c r="R26" s="4"/>
      <c r="S26" s="4"/>
      <c r="U26" s="4"/>
      <c r="V26" s="4"/>
      <c r="W26" s="4"/>
      <c r="X26" s="4"/>
    </row>
    <row r="27" spans="1:24" ht="15.75" x14ac:dyDescent="0.25">
      <c r="A27" s="3"/>
      <c r="B27" s="1"/>
      <c r="C27" s="35"/>
      <c r="D27" s="1"/>
      <c r="E27" s="1"/>
      <c r="F27" s="33"/>
      <c r="G27" s="7"/>
      <c r="H27" s="7"/>
      <c r="I27" s="7"/>
      <c r="J27" s="6"/>
      <c r="K27" s="7"/>
      <c r="L27" s="7"/>
      <c r="M27" s="7"/>
      <c r="N27" s="7"/>
      <c r="P27" s="4"/>
      <c r="Q27" s="4"/>
      <c r="R27" s="4"/>
      <c r="S27" s="4"/>
      <c r="U27" s="4"/>
      <c r="V27" s="4"/>
      <c r="W27" s="4"/>
      <c r="X27" s="4"/>
    </row>
    <row r="28" spans="1:24" ht="15.75" x14ac:dyDescent="0.25">
      <c r="A28" s="3"/>
      <c r="B28" s="1"/>
      <c r="C28" s="35"/>
      <c r="D28" s="1"/>
      <c r="E28" s="1"/>
      <c r="F28" s="33"/>
      <c r="G28" s="7"/>
      <c r="H28" s="7"/>
      <c r="I28" s="7"/>
      <c r="J28" s="6"/>
      <c r="K28" s="7"/>
      <c r="L28" s="7"/>
      <c r="M28" s="7"/>
      <c r="N28" s="7"/>
      <c r="P28" s="4"/>
      <c r="Q28" s="4"/>
      <c r="R28" s="4"/>
      <c r="S28" s="4"/>
      <c r="U28" s="4"/>
      <c r="V28" s="4"/>
      <c r="W28" s="4"/>
      <c r="X28" s="4"/>
    </row>
    <row r="29" spans="1:24" ht="15.75" x14ac:dyDescent="0.25">
      <c r="A29" s="3"/>
      <c r="B29" s="1"/>
      <c r="C29" s="35"/>
      <c r="D29" s="1"/>
      <c r="E29" s="1"/>
      <c r="F29" s="33"/>
      <c r="G29" s="7"/>
      <c r="H29" s="7"/>
      <c r="I29" s="7"/>
      <c r="J29" s="6"/>
      <c r="K29" s="7"/>
      <c r="L29" s="7"/>
      <c r="M29" s="7"/>
      <c r="N29" s="7"/>
      <c r="P29" s="4"/>
      <c r="Q29" s="4"/>
      <c r="R29" s="4"/>
      <c r="S29" s="4"/>
      <c r="U29" s="4"/>
      <c r="V29" s="4"/>
      <c r="W29" s="4"/>
      <c r="X29" s="4"/>
    </row>
    <row r="30" spans="1:24" ht="15.75" x14ac:dyDescent="0.25">
      <c r="A30" s="3"/>
      <c r="B30" s="1"/>
      <c r="C30" s="35"/>
      <c r="D30" s="1"/>
      <c r="E30" s="1"/>
      <c r="F30" s="33"/>
      <c r="G30" s="7"/>
      <c r="H30" s="7"/>
      <c r="I30" s="7"/>
      <c r="J30" s="6"/>
      <c r="K30" s="7"/>
      <c r="L30" s="7"/>
      <c r="M30" s="7"/>
      <c r="N30" s="7"/>
      <c r="P30" s="4"/>
      <c r="Q30" s="4"/>
      <c r="R30" s="4"/>
      <c r="S30" s="4"/>
      <c r="U30" s="4"/>
      <c r="V30" s="4"/>
      <c r="W30" s="4"/>
      <c r="X30" s="4"/>
    </row>
    <row r="31" spans="1:24" ht="15.75" x14ac:dyDescent="0.25">
      <c r="A31" s="3"/>
      <c r="B31" s="1"/>
      <c r="C31" s="35"/>
      <c r="D31" s="1"/>
      <c r="E31" s="1"/>
      <c r="F31" s="33"/>
      <c r="G31" s="7"/>
      <c r="H31" s="7"/>
      <c r="I31" s="7"/>
      <c r="J31" s="6"/>
      <c r="K31" s="7"/>
      <c r="L31" s="7"/>
      <c r="M31" s="7"/>
      <c r="N31" s="7"/>
      <c r="P31" s="4"/>
      <c r="Q31" s="4"/>
      <c r="R31" s="4"/>
      <c r="S31" s="4"/>
      <c r="U31" s="4"/>
      <c r="V31" s="4"/>
      <c r="W31" s="4"/>
      <c r="X31" s="4"/>
    </row>
    <row r="32" spans="1:24" ht="15.75" x14ac:dyDescent="0.25">
      <c r="A32" s="3"/>
      <c r="B32" s="1"/>
      <c r="C32" s="35"/>
      <c r="D32" s="1"/>
      <c r="E32" s="1"/>
      <c r="F32" s="33"/>
      <c r="G32" s="7"/>
      <c r="H32" s="7"/>
      <c r="I32" s="7"/>
      <c r="J32" s="6"/>
      <c r="K32" s="7"/>
      <c r="L32" s="7"/>
      <c r="M32" s="7"/>
      <c r="N32" s="7"/>
      <c r="P32" s="4"/>
      <c r="Q32" s="4"/>
      <c r="R32" s="4"/>
      <c r="S32" s="4"/>
      <c r="U32" s="4"/>
      <c r="V32" s="4"/>
      <c r="W32" s="4"/>
      <c r="X32" s="4"/>
    </row>
    <row r="33" spans="1:24" ht="15.75" x14ac:dyDescent="0.25">
      <c r="A33" s="36"/>
      <c r="B33" s="37"/>
      <c r="C33" s="3"/>
      <c r="D33" s="3"/>
      <c r="E33" s="12"/>
      <c r="F33" s="33"/>
      <c r="G33" s="7"/>
      <c r="H33" s="7"/>
      <c r="I33" s="7"/>
      <c r="J33" s="12"/>
      <c r="K33" s="4"/>
      <c r="L33" s="4"/>
      <c r="M33" s="4"/>
      <c r="N33" s="4"/>
      <c r="O33" s="12"/>
      <c r="P33" s="34"/>
      <c r="Q33" s="34"/>
      <c r="R33" s="34"/>
      <c r="S33" s="34"/>
      <c r="U33" s="4"/>
      <c r="V33" s="4"/>
      <c r="W33" s="4"/>
      <c r="X33" s="4"/>
    </row>
  </sheetData>
  <mergeCells count="3">
    <mergeCell ref="A33:B33"/>
    <mergeCell ref="F22:I22"/>
    <mergeCell ref="K22:N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7CC1-A637-4A91-90B6-9A75B79B4C12}">
  <dimension ref="A1:I34"/>
  <sheetViews>
    <sheetView zoomScale="110" zoomScaleNormal="110" workbookViewId="0"/>
  </sheetViews>
  <sheetFormatPr baseColWidth="10" defaultRowHeight="15" x14ac:dyDescent="0.25"/>
  <sheetData>
    <row r="1" spans="1:9" ht="15.75" x14ac:dyDescent="0.25">
      <c r="A1" s="45" t="s">
        <v>11</v>
      </c>
      <c r="B1" s="46" t="s">
        <v>27</v>
      </c>
      <c r="C1" s="46" t="s">
        <v>28</v>
      </c>
      <c r="D1" s="46" t="s">
        <v>29</v>
      </c>
      <c r="E1" s="46" t="s">
        <v>30</v>
      </c>
      <c r="F1" s="46" t="s">
        <v>34</v>
      </c>
      <c r="G1" s="46" t="s">
        <v>31</v>
      </c>
      <c r="H1" s="46" t="s">
        <v>32</v>
      </c>
      <c r="I1" s="46" t="s">
        <v>33</v>
      </c>
    </row>
    <row r="2" spans="1:9" ht="15.75" x14ac:dyDescent="0.25">
      <c r="A2" s="44" t="s">
        <v>0</v>
      </c>
      <c r="B2" s="41">
        <v>1</v>
      </c>
      <c r="C2" s="41">
        <v>-0.27100000000000002</v>
      </c>
      <c r="D2" s="41">
        <v>0.72899999999999998</v>
      </c>
      <c r="E2" s="41">
        <v>1.296</v>
      </c>
      <c r="F2" s="41">
        <v>0</v>
      </c>
      <c r="G2">
        <f>B2*(C2+2)</f>
        <v>1.7290000000000001</v>
      </c>
      <c r="H2">
        <f>B2*(C2+D2+4)</f>
        <v>4.4580000000000002</v>
      </c>
      <c r="I2">
        <f t="shared" ref="I2:I9" si="0">B2 * (C2 + D2 + E2+6)</f>
        <v>7.7539999999999996</v>
      </c>
    </row>
    <row r="3" spans="1:9" ht="15.75" x14ac:dyDescent="0.25">
      <c r="A3" s="3" t="s">
        <v>1</v>
      </c>
      <c r="B3" s="41">
        <v>1.052</v>
      </c>
      <c r="C3" s="41">
        <v>-0.215</v>
      </c>
      <c r="D3" s="41">
        <v>0.68799999999999994</v>
      </c>
      <c r="E3" s="41">
        <v>1.1499999999999999</v>
      </c>
      <c r="F3" s="41">
        <v>0</v>
      </c>
      <c r="G3">
        <f>B3*(C3+2)</f>
        <v>1.87782</v>
      </c>
      <c r="H3">
        <f>B3 * (C3 + D3+4)</f>
        <v>4.7055959999999999</v>
      </c>
      <c r="I3">
        <f t="shared" si="0"/>
        <v>8.0193960000000004</v>
      </c>
    </row>
    <row r="4" spans="1:9" ht="15.75" x14ac:dyDescent="0.25">
      <c r="A4" s="3" t="s">
        <v>2</v>
      </c>
      <c r="B4" s="41">
        <v>0.97199999999999998</v>
      </c>
      <c r="C4" s="41">
        <v>-0.56000000000000005</v>
      </c>
      <c r="D4" s="41">
        <v>0.32900000000000001</v>
      </c>
      <c r="E4" s="41">
        <v>0.73899999999999999</v>
      </c>
      <c r="F4" s="41">
        <v>0</v>
      </c>
      <c r="G4">
        <f t="shared" ref="G3:G9" si="1">B4*(C4+2)</f>
        <v>1.3996799999999998</v>
      </c>
      <c r="H4">
        <f t="shared" ref="H4:H9" si="2">B4 * (C4 + D4+4)</f>
        <v>3.6634679999999999</v>
      </c>
      <c r="I4">
        <f t="shared" si="0"/>
        <v>6.3257760000000003</v>
      </c>
    </row>
    <row r="5" spans="1:9" ht="15.75" x14ac:dyDescent="0.25">
      <c r="A5" s="3" t="s">
        <v>3</v>
      </c>
      <c r="B5" s="41">
        <v>1.0189999999999999</v>
      </c>
      <c r="C5" s="41">
        <v>-0.97699999999999998</v>
      </c>
      <c r="D5" s="41">
        <v>0.14499999999999999</v>
      </c>
      <c r="E5" s="41">
        <v>0.56499999999999995</v>
      </c>
      <c r="F5" s="41">
        <v>0</v>
      </c>
      <c r="G5">
        <f t="shared" si="1"/>
        <v>1.0424370000000001</v>
      </c>
      <c r="H5">
        <f t="shared" si="2"/>
        <v>3.228192</v>
      </c>
      <c r="I5">
        <f t="shared" si="0"/>
        <v>5.8419269999999992</v>
      </c>
    </row>
    <row r="6" spans="1:9" ht="15.75" x14ac:dyDescent="0.25">
      <c r="A6" s="3" t="s">
        <v>4</v>
      </c>
      <c r="B6" s="41">
        <v>0.95899999999999996</v>
      </c>
      <c r="C6" s="41">
        <v>-0.45100000000000001</v>
      </c>
      <c r="D6" s="41">
        <v>0.44800000000000001</v>
      </c>
      <c r="E6" s="41">
        <v>0.89500000000000002</v>
      </c>
      <c r="F6" s="41">
        <v>0</v>
      </c>
      <c r="G6">
        <f t="shared" si="1"/>
        <v>1.4854909999999999</v>
      </c>
      <c r="H6">
        <f t="shared" si="2"/>
        <v>3.8331229999999996</v>
      </c>
      <c r="I6">
        <f t="shared" si="0"/>
        <v>6.6094280000000003</v>
      </c>
    </row>
    <row r="7" spans="1:9" ht="15.75" x14ac:dyDescent="0.25">
      <c r="A7" s="3" t="s">
        <v>5</v>
      </c>
      <c r="B7" s="41">
        <v>0.99199999999999999</v>
      </c>
      <c r="C7" s="41">
        <v>5.5E-2</v>
      </c>
      <c r="D7" s="41">
        <v>0.76500000000000001</v>
      </c>
      <c r="E7" s="41">
        <v>1.19</v>
      </c>
      <c r="F7" s="41">
        <v>0</v>
      </c>
      <c r="G7">
        <f t="shared" si="1"/>
        <v>2.0385599999999999</v>
      </c>
      <c r="H7">
        <f t="shared" si="2"/>
        <v>4.7814399999999999</v>
      </c>
      <c r="I7">
        <f t="shared" si="0"/>
        <v>7.9459200000000001</v>
      </c>
    </row>
    <row r="8" spans="1:9" ht="15.75" x14ac:dyDescent="0.25">
      <c r="A8" s="3" t="s">
        <v>6</v>
      </c>
      <c r="B8" s="41">
        <v>0.98</v>
      </c>
      <c r="C8" s="41">
        <v>-0.16700000000000001</v>
      </c>
      <c r="D8" s="41">
        <v>0.71799999999999997</v>
      </c>
      <c r="E8" s="41">
        <v>1.1930000000000001</v>
      </c>
      <c r="F8" s="41">
        <v>0</v>
      </c>
      <c r="G8">
        <f t="shared" si="1"/>
        <v>1.7963399999999998</v>
      </c>
      <c r="H8">
        <f t="shared" si="2"/>
        <v>4.4599799999999998</v>
      </c>
      <c r="I8">
        <f t="shared" si="0"/>
        <v>7.5891199999999994</v>
      </c>
    </row>
    <row r="9" spans="1:9" ht="15.75" x14ac:dyDescent="0.25">
      <c r="A9" s="3" t="s">
        <v>7</v>
      </c>
      <c r="B9" s="41">
        <v>0.94899999999999995</v>
      </c>
      <c r="C9" s="41">
        <v>0.20699999999999999</v>
      </c>
      <c r="D9" s="41">
        <v>0.93700000000000006</v>
      </c>
      <c r="E9" s="41">
        <v>1.4510000000000001</v>
      </c>
      <c r="F9" s="41">
        <v>0</v>
      </c>
      <c r="G9">
        <f t="shared" si="1"/>
        <v>2.0944429999999996</v>
      </c>
      <c r="H9">
        <f t="shared" si="2"/>
        <v>4.8816559999999996</v>
      </c>
      <c r="I9">
        <f t="shared" si="0"/>
        <v>8.1566550000000007</v>
      </c>
    </row>
    <row r="10" spans="1:9" ht="16.5" thickBot="1" x14ac:dyDescent="0.3">
      <c r="A10" s="27" t="s">
        <v>8</v>
      </c>
      <c r="B10" s="47">
        <v>0.871</v>
      </c>
      <c r="C10" s="47">
        <v>0.88500000000000001</v>
      </c>
      <c r="D10" s="47">
        <v>1.4630000000000001</v>
      </c>
      <c r="E10" s="47">
        <v>1.7529999999999999</v>
      </c>
      <c r="F10" s="47">
        <v>0</v>
      </c>
      <c r="G10" s="18">
        <f t="shared" ref="G3:G10" si="3">B10*C10</f>
        <v>0.77083500000000005</v>
      </c>
      <c r="H10" s="18">
        <f t="shared" ref="H3:H10" si="4">B10 * (C10 + D10)</f>
        <v>2.0451079999999999</v>
      </c>
      <c r="I10" s="40">
        <f t="shared" ref="I4:I10" si="5">B10 * (C10 + D10 + E10)</f>
        <v>3.571971</v>
      </c>
    </row>
    <row r="11" spans="1:9" ht="15.75" thickBot="1" x14ac:dyDescent="0.3">
      <c r="H11" s="43" t="s">
        <v>35</v>
      </c>
      <c r="I11" s="72">
        <f>SUM(I2:I10)</f>
        <v>61.814192999999996</v>
      </c>
    </row>
    <row r="30" spans="4:4" x14ac:dyDescent="0.25">
      <c r="D30" s="39"/>
    </row>
    <row r="31" spans="4:4" x14ac:dyDescent="0.25">
      <c r="D31" s="39"/>
    </row>
    <row r="32" spans="4:4" x14ac:dyDescent="0.25">
      <c r="D32" s="39"/>
    </row>
    <row r="33" spans="4:4" x14ac:dyDescent="0.25">
      <c r="D33" s="39"/>
    </row>
    <row r="34" spans="4:4" x14ac:dyDescent="0.25">
      <c r="D34" s="39"/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FADE8-883E-4380-A4AA-D8FC50673474}">
  <dimension ref="A1:E12"/>
  <sheetViews>
    <sheetView zoomScale="175" zoomScaleNormal="175" workbookViewId="0"/>
  </sheetViews>
  <sheetFormatPr baseColWidth="10" defaultRowHeight="15" x14ac:dyDescent="0.25"/>
  <cols>
    <col min="5" max="5" width="22.7109375" bestFit="1" customWidth="1"/>
  </cols>
  <sheetData>
    <row r="1" spans="1:5" x14ac:dyDescent="0.25">
      <c r="A1" s="18" t="s">
        <v>11</v>
      </c>
      <c r="B1" s="18" t="s">
        <v>53</v>
      </c>
      <c r="C1" s="58" t="s">
        <v>38</v>
      </c>
      <c r="D1" s="18" t="s">
        <v>37</v>
      </c>
      <c r="E1" s="48"/>
    </row>
    <row r="2" spans="1:5" ht="15.75" x14ac:dyDescent="0.25">
      <c r="A2" s="12" t="s">
        <v>44</v>
      </c>
      <c r="B2" s="59">
        <v>1</v>
      </c>
      <c r="C2" s="4">
        <f>B2*Parametros_Bartlett!$I2</f>
        <v>1.0759060391857311</v>
      </c>
      <c r="D2" s="4">
        <f>IF(B2=0, Parametros_PCM!$F2, IF(B2=1, Parametros_PCM!$G2, IF(B2=2, Parametros_PCM!$H2, Parametros_PCM!$I2)))</f>
        <v>1.7290000000000001</v>
      </c>
    </row>
    <row r="3" spans="1:5" ht="15.75" x14ac:dyDescent="0.25">
      <c r="A3" s="12" t="s">
        <v>45</v>
      </c>
      <c r="B3" s="59">
        <v>1</v>
      </c>
      <c r="C3" s="4">
        <f>B3*Parametros_Bartlett!$I3</f>
        <v>1.0501020919290753</v>
      </c>
      <c r="D3" s="4">
        <f>IF(B3=0, Parametros_PCM!$F3, IF(B3=1, Parametros_PCM!$G3, IF(B3=2, Parametros_PCM!$H3, Parametros_PCM!$I3)))</f>
        <v>1.87782</v>
      </c>
    </row>
    <row r="4" spans="1:5" ht="15.75" x14ac:dyDescent="0.25">
      <c r="A4" s="12" t="s">
        <v>46</v>
      </c>
      <c r="B4" s="59">
        <v>1</v>
      </c>
      <c r="C4" s="4">
        <f>B4*Parametros_Bartlett!$I4</f>
        <v>0.90139931173731269</v>
      </c>
      <c r="D4" s="4">
        <f>IF(B4=0, Parametros_PCM!$F4, IF(B4=1, Parametros_PCM!$G4, IF(B4=2, Parametros_PCM!$H4, Parametros_PCM!$I4)))</f>
        <v>1.3996799999999998</v>
      </c>
    </row>
    <row r="5" spans="1:5" ht="15.75" x14ac:dyDescent="0.25">
      <c r="A5" s="12" t="s">
        <v>47</v>
      </c>
      <c r="B5" s="59">
        <v>1</v>
      </c>
      <c r="C5" s="4">
        <f>B5*Parametros_Bartlett!$I5</f>
        <v>0.94630128835814198</v>
      </c>
      <c r="D5" s="4">
        <f>IF(B5=0, Parametros_PCM!$F5, IF(B5=1, Parametros_PCM!$G5, IF(B5=2, Parametros_PCM!$H5, Parametros_PCM!$I5)))</f>
        <v>1.0424370000000001</v>
      </c>
    </row>
    <row r="6" spans="1:5" ht="15.75" x14ac:dyDescent="0.25">
      <c r="A6" s="12" t="s">
        <v>48</v>
      </c>
      <c r="B6" s="59">
        <v>1</v>
      </c>
      <c r="C6" s="4">
        <f>B6*Parametros_Bartlett!$I6</f>
        <v>0.92697647981246301</v>
      </c>
      <c r="D6" s="4">
        <f>IF(B6=0, Parametros_PCM!$F6, IF(B6=1, Parametros_PCM!$G6, IF(B6=2, Parametros_PCM!$H6, Parametros_PCM!$I6)))</f>
        <v>1.4854909999999999</v>
      </c>
    </row>
    <row r="7" spans="1:5" ht="15.75" x14ac:dyDescent="0.25">
      <c r="A7" s="12" t="s">
        <v>49</v>
      </c>
      <c r="B7" s="59">
        <v>0</v>
      </c>
      <c r="C7" s="4">
        <f>B7*Parametros_Bartlett!$I7</f>
        <v>0</v>
      </c>
      <c r="D7" s="4">
        <f>IF(B7=0, Parametros_PCM!$F7, IF(B7=1, Parametros_PCM!$G7, IF(B7=2, Parametros_PCM!$H7, Parametros_PCM!$I7)))</f>
        <v>0</v>
      </c>
    </row>
    <row r="8" spans="1:5" ht="15.75" x14ac:dyDescent="0.25">
      <c r="A8" s="12" t="s">
        <v>50</v>
      </c>
      <c r="B8" s="59">
        <v>0</v>
      </c>
      <c r="C8" s="4">
        <f>B8*Parametros_Bartlett!$I8</f>
        <v>0</v>
      </c>
      <c r="D8" s="4">
        <f>IF(B8=0, Parametros_PCM!$F8, IF(B8=1, Parametros_PCM!$G8, IF(B8=2, Parametros_PCM!$H8, Parametros_PCM!$I8)))</f>
        <v>0</v>
      </c>
    </row>
    <row r="9" spans="1:5" ht="15.75" x14ac:dyDescent="0.25">
      <c r="A9" s="12" t="s">
        <v>51</v>
      </c>
      <c r="B9" s="59">
        <v>0</v>
      </c>
      <c r="C9" s="4">
        <f>B9*Parametros_Bartlett!$I9</f>
        <v>0</v>
      </c>
      <c r="D9" s="4">
        <f>IF(B9=0, Parametros_PCM!$F9, IF(B9=1, Parametros_PCM!$G9, IF(B9=2, Parametros_PCM!$H9, Parametros_PCM!$I9)))</f>
        <v>0</v>
      </c>
    </row>
    <row r="10" spans="1:5" ht="15.75" x14ac:dyDescent="0.25">
      <c r="A10" s="62" t="s">
        <v>52</v>
      </c>
      <c r="B10" s="61">
        <v>0</v>
      </c>
      <c r="C10" s="65">
        <f>B10*Parametros_Bartlett!$I10</f>
        <v>0</v>
      </c>
      <c r="D10" s="65">
        <f>IF(B10=0, Parametros_PCM!$F10, IF(B10=1, Parametros_PCM!$G10, IF(B10=2, Parametros_PCM!$H10, Parametros_PCM!$I10)))</f>
        <v>0</v>
      </c>
      <c r="E10" s="40"/>
    </row>
    <row r="11" spans="1:5" ht="16.5" thickBot="1" x14ac:dyDescent="0.3">
      <c r="A11" s="63" t="s">
        <v>43</v>
      </c>
      <c r="B11" s="60">
        <v>0</v>
      </c>
      <c r="C11" s="49" t="s">
        <v>41</v>
      </c>
      <c r="D11" s="49" t="s">
        <v>40</v>
      </c>
      <c r="E11" s="49" t="s">
        <v>42</v>
      </c>
    </row>
    <row r="12" spans="1:5" ht="15.75" thickBot="1" x14ac:dyDescent="0.3">
      <c r="B12" s="43" t="s">
        <v>39</v>
      </c>
      <c r="C12" s="50">
        <f>SUM(C2:C10)</f>
        <v>4.9006852110227248</v>
      </c>
      <c r="D12" s="51">
        <f>(SUM(D2:D10) / Parametros_PCM!$I$11) * 27</f>
        <v>3.2909845801918016</v>
      </c>
      <c r="E12" s="64" t="str">
        <f>IF(AND(OR(B2&gt;=1, B3&gt;=1), COUNTIF(B2:B10, "&gt;0")&gt;=5, B11&gt;=1), "Cumple Criterio Clínico", "No Cumple Criterio")</f>
        <v>No Cumple Criterio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Parametros_Bartlett</vt:lpstr>
      <vt:lpstr>Parametros_PCM</vt:lpstr>
      <vt:lpstr>Respuestas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Gonzalez</dc:creator>
  <cp:lastModifiedBy>Armando Gonzalez</cp:lastModifiedBy>
  <dcterms:created xsi:type="dcterms:W3CDTF">2026-06-18T12:10:23Z</dcterms:created>
  <dcterms:modified xsi:type="dcterms:W3CDTF">2026-06-23T16:58:23Z</dcterms:modified>
</cp:coreProperties>
</file>